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3335" windowHeight="51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9" i="1"/>
  <c r="B108"/>
  <c r="B107"/>
  <c r="B94"/>
  <c r="B68"/>
  <c r="B75" s="1"/>
  <c r="B76" s="1"/>
  <c r="B34"/>
  <c r="B32"/>
  <c r="B24"/>
  <c r="B17"/>
  <c r="B16"/>
  <c r="B5"/>
  <c r="B6" s="1"/>
  <c r="B8" s="1"/>
  <c r="B12" s="1"/>
  <c r="B18" s="1"/>
  <c r="B19" s="1"/>
  <c r="B83" l="1"/>
  <c r="B84" s="1"/>
  <c r="B86" s="1"/>
  <c r="B87"/>
  <c r="B90" s="1"/>
  <c r="B91" s="1"/>
  <c r="B78"/>
  <c r="B81"/>
  <c r="B63"/>
  <c r="B21"/>
  <c r="B93" l="1"/>
  <c r="B101"/>
  <c r="B103" s="1"/>
  <c r="B105" s="1"/>
  <c r="B98"/>
  <c r="B99" s="1"/>
  <c r="B65"/>
  <c r="B71" s="1"/>
  <c r="B66"/>
  <c r="B73"/>
  <c r="B25"/>
  <c r="B27"/>
  <c r="B29" l="1"/>
  <c r="B31" s="1"/>
  <c r="B35"/>
  <c r="B55" l="1"/>
  <c r="B56" s="1"/>
  <c r="B58"/>
  <c r="B59" s="1"/>
  <c r="B49"/>
  <c r="B43"/>
  <c r="B37"/>
  <c r="B39" s="1"/>
  <c r="B40" s="1"/>
  <c r="B41" l="1"/>
  <c r="B44"/>
  <c r="B52"/>
  <c r="B45"/>
  <c r="B46" s="1"/>
  <c r="B47" s="1"/>
  <c r="B60" s="1"/>
</calcChain>
</file>

<file path=xl/sharedStrings.xml><?xml version="1.0" encoding="utf-8"?>
<sst xmlns="http://schemas.openxmlformats.org/spreadsheetml/2006/main" count="210" uniqueCount="141">
  <si>
    <t>On the basis of 23 hour pumping, design flow</t>
  </si>
  <si>
    <t>Length of channel</t>
  </si>
  <si>
    <t>Water Treatment Plant</t>
  </si>
  <si>
    <t>Design flow</t>
  </si>
  <si>
    <t xml:space="preserve">Volume provided </t>
  </si>
  <si>
    <t>Flow in each Flash Mixer</t>
  </si>
  <si>
    <t>Volume provided</t>
  </si>
  <si>
    <t xml:space="preserve">Clariflocculators </t>
  </si>
  <si>
    <t>No.s</t>
  </si>
  <si>
    <t xml:space="preserve">Volume reqd. in flocculation zone </t>
  </si>
  <si>
    <t>Volume required in Clarifying zone</t>
  </si>
  <si>
    <r>
      <t>1178.25 × 3 = 3534.75 m</t>
    </r>
    <r>
      <rPr>
        <vertAlign val="superscript"/>
        <sz val="10.5"/>
        <color theme="1"/>
        <rFont val="Times New Roman"/>
        <family val="1"/>
      </rPr>
      <t>3</t>
    </r>
  </si>
  <si>
    <t>Filters</t>
  </si>
  <si>
    <t xml:space="preserve">No,s </t>
  </si>
  <si>
    <t>Total output</t>
  </si>
  <si>
    <t>Input to each of 10 filters</t>
  </si>
  <si>
    <t>Area required for each filter</t>
  </si>
  <si>
    <t>Wash water rate reqd</t>
  </si>
  <si>
    <t>Air flow rate</t>
  </si>
  <si>
    <t>Wash water Pump</t>
  </si>
  <si>
    <t>Capacity required</t>
  </si>
  <si>
    <t>Air blower</t>
  </si>
  <si>
    <t>Air capacity reqd.</t>
  </si>
  <si>
    <t>Chemical House</t>
  </si>
  <si>
    <t>Solution required for 8 hrs</t>
  </si>
  <si>
    <t xml:space="preserve">Alum required for 90 days </t>
  </si>
  <si>
    <t xml:space="preserve">Volume of alum </t>
  </si>
  <si>
    <t>Area required for alum storage</t>
  </si>
  <si>
    <t>Design of Conventional water Treatment Plant</t>
  </si>
  <si>
    <t xml:space="preserve">Design flow </t>
  </si>
  <si>
    <t>MLD</t>
  </si>
  <si>
    <t>cum/hr</t>
  </si>
  <si>
    <t xml:space="preserve">Design Flow output from WTP </t>
  </si>
  <si>
    <t>Design Flow input to WTP, consider 5% losses in WTP</t>
  </si>
  <si>
    <t>cu/hour</t>
  </si>
  <si>
    <t>Pumping Hours in Raw Water Pumping Station</t>
  </si>
  <si>
    <t>Hours</t>
  </si>
  <si>
    <t>m/sec</t>
  </si>
  <si>
    <t xml:space="preserve">Consider Inlet channel having width of </t>
  </si>
  <si>
    <t>m</t>
  </si>
  <si>
    <t xml:space="preserve">Consider Inlet channel having depth of </t>
  </si>
  <si>
    <t>Over loading capacity</t>
  </si>
  <si>
    <t>Velocity of flow in channal</t>
  </si>
  <si>
    <t>mm</t>
  </si>
  <si>
    <t xml:space="preserve">Head loss across manual screen </t>
  </si>
  <si>
    <t>Water supply level at inlet of channal</t>
  </si>
  <si>
    <t>Top Water Level downstream of screen</t>
  </si>
  <si>
    <t>Losses in Channal</t>
  </si>
  <si>
    <t>Hydraulic Radious of Channal (Area/Perimeter)</t>
  </si>
  <si>
    <t>Slope Friction loss per 1000 m in Channal</t>
  </si>
  <si>
    <t>Inlet chamber detention time</t>
  </si>
  <si>
    <t>Sec</t>
  </si>
  <si>
    <t>m*m*m</t>
  </si>
  <si>
    <t>Provide Inlet Chamber of size</t>
  </si>
  <si>
    <t>3.6*3.6*4.5</t>
  </si>
  <si>
    <t>cum</t>
  </si>
  <si>
    <t>Detention Time provided</t>
  </si>
  <si>
    <t>Seconds</t>
  </si>
  <si>
    <t xml:space="preserve"> No of Flash Mixers and Clariflocullator</t>
  </si>
  <si>
    <t>Nos</t>
  </si>
  <si>
    <t xml:space="preserve"> cum/hr</t>
  </si>
  <si>
    <t>Detention Time in flash mixture, range 30-60 seconds</t>
  </si>
  <si>
    <t>Volume required  for every flash mixture</t>
  </si>
  <si>
    <t>Provide Diameter of Flash mixture</t>
  </si>
  <si>
    <t>Provide depth of Flash mixture</t>
  </si>
  <si>
    <t>Required depth of Flash mixture</t>
  </si>
  <si>
    <t xml:space="preserve">Flow in every Clariflocculator </t>
  </si>
  <si>
    <t>cum/hour</t>
  </si>
  <si>
    <t>Minutes</t>
  </si>
  <si>
    <t>Detention time in flocculation zone, range 10-40 minutes</t>
  </si>
  <si>
    <t>Provide Water Depth in flocculation zone, range 3-4.5 m</t>
  </si>
  <si>
    <t>Required Dia of flocculation tank</t>
  </si>
  <si>
    <t>Provide  Dia of flocculation tank</t>
  </si>
  <si>
    <t>m/hour</t>
  </si>
  <si>
    <t>Surface area required</t>
  </si>
  <si>
    <t>Assume surface loading (Range 35-50 m/day)</t>
  </si>
  <si>
    <t>m/day</t>
  </si>
  <si>
    <t>sqm</t>
  </si>
  <si>
    <t>Area of Flocculation</t>
  </si>
  <si>
    <t>Total Area of Clariflocculator including flocculation</t>
  </si>
  <si>
    <t>Dia of Clariflocculator</t>
  </si>
  <si>
    <t>Provide Dia</t>
  </si>
  <si>
    <t>Detention time  (detention time range 1-2 hours),</t>
  </si>
  <si>
    <t>hours</t>
  </si>
  <si>
    <t xml:space="preserve">Volume provided in Clarifying zone, </t>
  </si>
  <si>
    <t>Water depth in clarifying zone</t>
  </si>
  <si>
    <t>Provide outlet launder of , width</t>
  </si>
  <si>
    <t>Provide outlet launder of , depth</t>
  </si>
  <si>
    <t xml:space="preserve">m3/hr </t>
  </si>
  <si>
    <t>Flow in Launder, for 50% flow lenfth</t>
  </si>
  <si>
    <t>Velocity of flow in launder for design flow</t>
  </si>
  <si>
    <t>Weir Loading taken</t>
  </si>
  <si>
    <t>m3/d/m</t>
  </si>
  <si>
    <t xml:space="preserve">Launder Perimeter required </t>
  </si>
  <si>
    <t xml:space="preserve">Provide weir to have inlet from both sides, thus launder perimeter required is </t>
  </si>
  <si>
    <t>Actual launder length provided</t>
  </si>
  <si>
    <t>nos</t>
  </si>
  <si>
    <t>Rate of Filtration</t>
  </si>
  <si>
    <t>Area of each twin filter</t>
  </si>
  <si>
    <t>Sqm</t>
  </si>
  <si>
    <t>3.60m×10.7m*2 No</t>
  </si>
  <si>
    <t xml:space="preserve">Provide twin bed filters section </t>
  </si>
  <si>
    <t>Velocity</t>
  </si>
  <si>
    <t>Inlet: sluice gate width</t>
  </si>
  <si>
    <t>Inlet: sluice gate depth</t>
  </si>
  <si>
    <t>Outlet: Provide Sluice Valve dia</t>
  </si>
  <si>
    <t>Velocity in outlet sluice valve</t>
  </si>
  <si>
    <t xml:space="preserve">Wash Water rate  </t>
  </si>
  <si>
    <t xml:space="preserve"> lpm/m2</t>
  </si>
  <si>
    <t>cum/minute</t>
  </si>
  <si>
    <t>LPS</t>
  </si>
  <si>
    <t>cum/sec</t>
  </si>
  <si>
    <t>mm φ</t>
  </si>
  <si>
    <t>Provide  SV dia for wash water</t>
  </si>
  <si>
    <t>Wash out; Provide gate / width</t>
  </si>
  <si>
    <t>Wash out; Provide gate / depth</t>
  </si>
  <si>
    <t>Air – inlet required rate</t>
  </si>
  <si>
    <t>lpm/m2</t>
  </si>
  <si>
    <t>sluice valve for Air inlet, dia for each filter bed</t>
  </si>
  <si>
    <t>m³/hr</t>
  </si>
  <si>
    <t xml:space="preserve">Provide 3 Submerssible pump sets (2W+1S), working pumps= </t>
  </si>
  <si>
    <t>no working</t>
  </si>
  <si>
    <t>Capacity of each pump</t>
  </si>
  <si>
    <r>
      <t>Provide two blowers (1W + 1S) of</t>
    </r>
    <r>
      <rPr>
        <sz val="10.5"/>
        <color theme="1"/>
        <rFont val="Times New Roman"/>
        <family val="1"/>
      </rPr>
      <t xml:space="preserve"> capacity</t>
    </r>
  </si>
  <si>
    <t>ppm</t>
  </si>
  <si>
    <t>Consider an average of  dose of alum at</t>
  </si>
  <si>
    <t xml:space="preserve"> strength solution</t>
  </si>
  <si>
    <t>%</t>
  </si>
  <si>
    <t>litres</t>
  </si>
  <si>
    <t>3.25×2.8×2.2</t>
  </si>
  <si>
    <t xml:space="preserve">Provide 3 tanks each of    </t>
  </si>
  <si>
    <t xml:space="preserve">Taking alum density </t>
  </si>
  <si>
    <t>kg/m3</t>
  </si>
  <si>
    <t>Kg</t>
  </si>
  <si>
    <t>Taking stake height as ,</t>
  </si>
  <si>
    <t xml:space="preserve"> m</t>
  </si>
  <si>
    <t>Note: i) Data in yellow cell to be suitably filled as per requirement</t>
  </si>
  <si>
    <t>Taking provision for movement and putting weighing scale etc., Provide additional storage area for Alum</t>
  </si>
  <si>
    <t>Additional area for movement, weight scale</t>
  </si>
  <si>
    <t>Total Area required</t>
  </si>
  <si>
    <t>ii) Data in green cell to review the provided value and revise/update if required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</si>
</sst>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000"/>
    <numFmt numFmtId="166" formatCode="0.000"/>
    <numFmt numFmtId="167" formatCode="0.0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top" wrapText="1"/>
    </xf>
    <xf numFmtId="166" fontId="3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Alignment="1">
      <alignment horizontal="right"/>
    </xf>
    <xf numFmtId="0" fontId="0" fillId="3" borderId="2" xfId="0" applyFill="1" applyBorder="1"/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0" fontId="0" fillId="0" borderId="1" xfId="0" applyBorder="1"/>
    <xf numFmtId="0" fontId="3" fillId="0" borderId="1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1" fontId="3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167" fontId="3" fillId="2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right" vertical="top" wrapText="1"/>
    </xf>
    <xf numFmtId="167" fontId="3" fillId="0" borderId="1" xfId="0" applyNumberFormat="1" applyFont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7" fontId="3" fillId="0" borderId="1" xfId="0" applyNumberFormat="1" applyFont="1" applyBorder="1" applyAlignment="1">
      <alignment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Border="1" applyAlignment="1">
      <alignment horizontal="right" vertical="top" wrapText="1"/>
    </xf>
    <xf numFmtId="9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right" vertical="top" wrapText="1"/>
    </xf>
    <xf numFmtId="167" fontId="3" fillId="4" borderId="1" xfId="0" applyNumberFormat="1" applyFont="1" applyFill="1" applyBorder="1" applyAlignment="1">
      <alignment horizontal="right" vertical="top" wrapText="1"/>
    </xf>
    <xf numFmtId="167" fontId="3" fillId="4" borderId="1" xfId="0" applyNumberFormat="1" applyFont="1" applyFill="1" applyBorder="1" applyAlignment="1">
      <alignment vertical="top" wrapText="1"/>
    </xf>
    <xf numFmtId="2" fontId="3" fillId="4" borderId="1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justify" vertical="top" wrapText="1"/>
    </xf>
    <xf numFmtId="1" fontId="3" fillId="4" borderId="1" xfId="0" applyNumberFormat="1" applyFont="1" applyFill="1" applyBorder="1" applyAlignment="1">
      <alignment horizontal="right" vertical="top" wrapText="1"/>
    </xf>
    <xf numFmtId="2" fontId="0" fillId="0" borderId="1" xfId="0" applyNumberFormat="1" applyBorder="1"/>
    <xf numFmtId="0" fontId="0" fillId="0" borderId="1" xfId="0" applyFill="1" applyBorder="1" applyAlignment="1">
      <alignment wrapText="1"/>
    </xf>
    <xf numFmtId="9" fontId="3" fillId="4" borderId="1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9"/>
  <sheetViews>
    <sheetView tabSelected="1" workbookViewId="0">
      <selection activeCell="G31" sqref="G31"/>
    </sheetView>
  </sheetViews>
  <sheetFormatPr defaultRowHeight="15"/>
  <cols>
    <col min="1" max="1" width="52" customWidth="1"/>
    <col min="2" max="2" width="11.7109375" customWidth="1"/>
    <col min="3" max="3" width="12" customWidth="1"/>
    <col min="4" max="4" width="6" customWidth="1"/>
  </cols>
  <sheetData>
    <row r="1" spans="1:4" ht="18.75">
      <c r="A1" s="40" t="s">
        <v>28</v>
      </c>
      <c r="B1" s="40"/>
    </row>
    <row r="2" spans="1:4">
      <c r="A2" s="41" t="s">
        <v>136</v>
      </c>
      <c r="B2" s="41"/>
      <c r="C2" s="41"/>
    </row>
    <row r="3" spans="1:4">
      <c r="A3" s="42" t="s">
        <v>140</v>
      </c>
      <c r="B3" s="42"/>
      <c r="C3" s="42"/>
    </row>
    <row r="4" spans="1:4" ht="15.75">
      <c r="A4" s="9" t="s">
        <v>32</v>
      </c>
      <c r="B4" s="10">
        <v>100</v>
      </c>
      <c r="C4" s="11" t="s">
        <v>30</v>
      </c>
      <c r="D4" s="1"/>
    </row>
    <row r="5" spans="1:4" ht="16.5" customHeight="1">
      <c r="A5" s="9" t="s">
        <v>33</v>
      </c>
      <c r="B5" s="12">
        <f>B4*1.05</f>
        <v>105</v>
      </c>
      <c r="C5" s="11" t="s">
        <v>30</v>
      </c>
      <c r="D5" s="1"/>
    </row>
    <row r="6" spans="1:4" ht="15.75">
      <c r="A6" s="2" t="s">
        <v>29</v>
      </c>
      <c r="B6" s="2">
        <f>B5*1000/24</f>
        <v>4375</v>
      </c>
      <c r="C6" s="11" t="s">
        <v>34</v>
      </c>
      <c r="D6" s="1"/>
    </row>
    <row r="7" spans="1:4" ht="15.75">
      <c r="A7" s="2" t="s">
        <v>35</v>
      </c>
      <c r="B7" s="13">
        <v>23</v>
      </c>
      <c r="C7" s="11" t="s">
        <v>36</v>
      </c>
      <c r="D7" s="1"/>
    </row>
    <row r="8" spans="1:4" ht="15.75">
      <c r="A8" s="2" t="s">
        <v>0</v>
      </c>
      <c r="B8" s="14">
        <f>B6*24/B7</f>
        <v>4565.217391304348</v>
      </c>
      <c r="C8" s="15" t="s">
        <v>34</v>
      </c>
    </row>
    <row r="9" spans="1:4" ht="18" customHeight="1">
      <c r="A9" s="2" t="s">
        <v>38</v>
      </c>
      <c r="B9" s="16">
        <v>2</v>
      </c>
      <c r="C9" s="15" t="s">
        <v>39</v>
      </c>
    </row>
    <row r="10" spans="1:4" ht="18" customHeight="1">
      <c r="A10" s="2" t="s">
        <v>40</v>
      </c>
      <c r="B10" s="10">
        <v>0.8</v>
      </c>
      <c r="C10" s="15" t="s">
        <v>39</v>
      </c>
    </row>
    <row r="11" spans="1:4" ht="18" customHeight="1">
      <c r="A11" s="2" t="s">
        <v>41</v>
      </c>
      <c r="B11" s="29">
        <v>0.2</v>
      </c>
      <c r="C11" s="15"/>
    </row>
    <row r="12" spans="1:4" ht="16.5" customHeight="1">
      <c r="A12" s="2" t="s">
        <v>42</v>
      </c>
      <c r="B12" s="17">
        <f>B8*(1+B11)/(B9*B10*3600)</f>
        <v>0.95108695652173902</v>
      </c>
      <c r="C12" s="18" t="s">
        <v>37</v>
      </c>
    </row>
    <row r="13" spans="1:4" ht="16.5" customHeight="1">
      <c r="A13" s="2" t="s">
        <v>1</v>
      </c>
      <c r="B13" s="10">
        <v>40</v>
      </c>
      <c r="C13" s="18" t="s">
        <v>39</v>
      </c>
    </row>
    <row r="14" spans="1:4" ht="14.25" customHeight="1">
      <c r="A14" s="6" t="s">
        <v>44</v>
      </c>
      <c r="B14" s="30">
        <v>16</v>
      </c>
      <c r="C14" s="18" t="s">
        <v>43</v>
      </c>
    </row>
    <row r="15" spans="1:4" ht="16.5" customHeight="1">
      <c r="A15" s="6" t="s">
        <v>45</v>
      </c>
      <c r="B15" s="13">
        <v>240.1</v>
      </c>
      <c r="C15" s="18" t="s">
        <v>39</v>
      </c>
    </row>
    <row r="16" spans="1:4" ht="19.5" customHeight="1">
      <c r="A16" s="6" t="s">
        <v>46</v>
      </c>
      <c r="B16" s="12">
        <f>B15-(B14/1000)</f>
        <v>240.084</v>
      </c>
      <c r="C16" s="18" t="s">
        <v>39</v>
      </c>
    </row>
    <row r="17" spans="1:4" ht="15" customHeight="1">
      <c r="A17" s="2" t="s">
        <v>48</v>
      </c>
      <c r="B17" s="3">
        <f>(B9*B10)/(B10*2+B9)</f>
        <v>0.44444444444444448</v>
      </c>
      <c r="C17" s="18" t="s">
        <v>39</v>
      </c>
    </row>
    <row r="18" spans="1:4" ht="18" customHeight="1">
      <c r="A18" s="2" t="s">
        <v>49</v>
      </c>
      <c r="B18" s="4">
        <f>(B12/(66.6*B17^0.667))^2</f>
        <v>6.0159396676288663E-4</v>
      </c>
      <c r="C18" s="18" t="s">
        <v>39</v>
      </c>
    </row>
    <row r="19" spans="1:4" ht="18" customHeight="1">
      <c r="A19" s="2" t="s">
        <v>47</v>
      </c>
      <c r="B19" s="4">
        <f>B18*B13</f>
        <v>2.4063758670515467E-2</v>
      </c>
      <c r="C19" s="18" t="s">
        <v>39</v>
      </c>
    </row>
    <row r="20" spans="1:4" ht="15" customHeight="1">
      <c r="A20" s="5" t="s">
        <v>2</v>
      </c>
      <c r="B20" s="6"/>
      <c r="C20" s="18"/>
    </row>
    <row r="21" spans="1:4" ht="17.25" customHeight="1">
      <c r="A21" s="6" t="s">
        <v>3</v>
      </c>
      <c r="B21" s="19">
        <f>B8</f>
        <v>4565.217391304348</v>
      </c>
      <c r="C21" s="15" t="s">
        <v>34</v>
      </c>
    </row>
    <row r="22" spans="1:4" ht="15" customHeight="1">
      <c r="A22" s="6" t="s">
        <v>50</v>
      </c>
      <c r="B22" s="31">
        <v>45</v>
      </c>
      <c r="C22" s="18" t="s">
        <v>51</v>
      </c>
    </row>
    <row r="23" spans="1:4" ht="18.75" customHeight="1">
      <c r="A23" s="6" t="s">
        <v>53</v>
      </c>
      <c r="B23" s="10" t="s">
        <v>54</v>
      </c>
      <c r="C23" s="18" t="s">
        <v>52</v>
      </c>
    </row>
    <row r="24" spans="1:4" ht="16.5" customHeight="1">
      <c r="A24" s="6" t="s">
        <v>4</v>
      </c>
      <c r="B24" s="12">
        <f>3.6*3.6*4.5</f>
        <v>58.320000000000007</v>
      </c>
      <c r="C24" s="18" t="s">
        <v>55</v>
      </c>
    </row>
    <row r="25" spans="1:4" ht="16.5" customHeight="1">
      <c r="A25" s="6" t="s">
        <v>56</v>
      </c>
      <c r="B25" s="20">
        <f>(B24/B21)*3600</f>
        <v>45.989485714285713</v>
      </c>
      <c r="C25" s="18" t="s">
        <v>57</v>
      </c>
      <c r="D25" s="8"/>
    </row>
    <row r="26" spans="1:4" ht="16.5" customHeight="1">
      <c r="A26" s="2" t="s">
        <v>58</v>
      </c>
      <c r="B26" s="31">
        <v>2</v>
      </c>
      <c r="C26" s="18" t="s">
        <v>59</v>
      </c>
    </row>
    <row r="27" spans="1:4" ht="18" customHeight="1">
      <c r="A27" s="2" t="s">
        <v>5</v>
      </c>
      <c r="B27" s="21">
        <f>B21/B26</f>
        <v>2282.608695652174</v>
      </c>
      <c r="C27" s="18" t="s">
        <v>60</v>
      </c>
    </row>
    <row r="28" spans="1:4" ht="18" customHeight="1">
      <c r="A28" s="2" t="s">
        <v>61</v>
      </c>
      <c r="B28" s="32">
        <v>45</v>
      </c>
      <c r="C28" s="18" t="s">
        <v>51</v>
      </c>
    </row>
    <row r="29" spans="1:4" ht="16.5" customHeight="1">
      <c r="A29" s="2" t="s">
        <v>62</v>
      </c>
      <c r="B29" s="17">
        <f>(B27/3600)*B28</f>
        <v>28.532608695652176</v>
      </c>
      <c r="C29" s="18" t="s">
        <v>55</v>
      </c>
    </row>
    <row r="30" spans="1:4" ht="13.5" customHeight="1">
      <c r="A30" s="2" t="s">
        <v>63</v>
      </c>
      <c r="B30" s="22">
        <v>3.25</v>
      </c>
      <c r="C30" s="18" t="s">
        <v>39</v>
      </c>
    </row>
    <row r="31" spans="1:4" ht="13.5" customHeight="1">
      <c r="A31" s="2" t="s">
        <v>65</v>
      </c>
      <c r="B31" s="17">
        <f>B29/(0.785*B30*B30)</f>
        <v>3.4411618673382947</v>
      </c>
      <c r="C31" s="18" t="s">
        <v>39</v>
      </c>
    </row>
    <row r="32" spans="1:4" ht="13.5" customHeight="1">
      <c r="A32" s="2" t="s">
        <v>64</v>
      </c>
      <c r="B32" s="22">
        <f>3.5</f>
        <v>3.5</v>
      </c>
      <c r="C32" s="18" t="s">
        <v>39</v>
      </c>
    </row>
    <row r="33" spans="1:3" ht="16.5" customHeight="1">
      <c r="A33" s="23" t="s">
        <v>7</v>
      </c>
      <c r="B33" s="6"/>
      <c r="C33" s="18"/>
    </row>
    <row r="34" spans="1:3">
      <c r="A34" s="2" t="s">
        <v>8</v>
      </c>
      <c r="B34" s="12">
        <f>B26</f>
        <v>2</v>
      </c>
      <c r="C34" s="18" t="s">
        <v>59</v>
      </c>
    </row>
    <row r="35" spans="1:3" ht="16.5" customHeight="1">
      <c r="A35" s="6" t="s">
        <v>66</v>
      </c>
      <c r="B35" s="21">
        <f>B27</f>
        <v>2282.608695652174</v>
      </c>
      <c r="C35" s="18" t="s">
        <v>67</v>
      </c>
    </row>
    <row r="36" spans="1:3" ht="16.5" customHeight="1">
      <c r="A36" s="6" t="s">
        <v>69</v>
      </c>
      <c r="B36" s="32">
        <v>30</v>
      </c>
      <c r="C36" s="18" t="s">
        <v>68</v>
      </c>
    </row>
    <row r="37" spans="1:3" ht="16.5" customHeight="1">
      <c r="A37" s="6" t="s">
        <v>9</v>
      </c>
      <c r="B37" s="24">
        <f>B35*B36/60</f>
        <v>1141.304347826087</v>
      </c>
      <c r="C37" s="18" t="s">
        <v>55</v>
      </c>
    </row>
    <row r="38" spans="1:3" ht="15" customHeight="1">
      <c r="A38" s="6" t="s">
        <v>70</v>
      </c>
      <c r="B38" s="31">
        <v>3.75</v>
      </c>
      <c r="C38" s="18" t="s">
        <v>39</v>
      </c>
    </row>
    <row r="39" spans="1:3" ht="16.5" customHeight="1">
      <c r="A39" s="2" t="s">
        <v>71</v>
      </c>
      <c r="B39" s="20">
        <f>(B37/(B38*0.785))^0.5</f>
        <v>19.690206628002862</v>
      </c>
      <c r="C39" s="18" t="s">
        <v>39</v>
      </c>
    </row>
    <row r="40" spans="1:3" ht="17.25" customHeight="1">
      <c r="A40" s="2" t="s">
        <v>72</v>
      </c>
      <c r="B40" s="20">
        <f>ROUNDUP(B39,0)</f>
        <v>20</v>
      </c>
      <c r="C40" s="18" t="s">
        <v>39</v>
      </c>
    </row>
    <row r="41" spans="1:3" ht="15" customHeight="1">
      <c r="A41" s="6" t="s">
        <v>6</v>
      </c>
      <c r="B41" s="12">
        <f>0.785*B40*B40*B38</f>
        <v>1177.5</v>
      </c>
      <c r="C41" s="18" t="s">
        <v>55</v>
      </c>
    </row>
    <row r="42" spans="1:3" ht="15" customHeight="1">
      <c r="A42" s="6" t="s">
        <v>75</v>
      </c>
      <c r="B42" s="31">
        <v>35</v>
      </c>
      <c r="C42" s="18" t="s">
        <v>76</v>
      </c>
    </row>
    <row r="43" spans="1:3" ht="15" customHeight="1">
      <c r="A43" s="6" t="s">
        <v>74</v>
      </c>
      <c r="B43" s="21">
        <f>B35*24/B42</f>
        <v>1565.217391304348</v>
      </c>
      <c r="C43" s="18" t="s">
        <v>77</v>
      </c>
    </row>
    <row r="44" spans="1:3" ht="17.25" customHeight="1">
      <c r="A44" s="6" t="s">
        <v>78</v>
      </c>
      <c r="B44" s="12">
        <f>0.785*B40*B40</f>
        <v>314</v>
      </c>
      <c r="C44" s="18" t="s">
        <v>77</v>
      </c>
    </row>
    <row r="45" spans="1:3" ht="17.25" customHeight="1">
      <c r="A45" s="6" t="s">
        <v>79</v>
      </c>
      <c r="B45" s="21">
        <f>B43+B44</f>
        <v>1879.217391304348</v>
      </c>
      <c r="C45" s="18" t="s">
        <v>77</v>
      </c>
    </row>
    <row r="46" spans="1:3" ht="15.75" customHeight="1">
      <c r="A46" s="2" t="s">
        <v>80</v>
      </c>
      <c r="B46" s="20">
        <f>(B45/0.785)^0.5</f>
        <v>48.927574074812895</v>
      </c>
      <c r="C46" s="18" t="s">
        <v>39</v>
      </c>
    </row>
    <row r="47" spans="1:3" ht="15.75" customHeight="1">
      <c r="A47" s="2" t="s">
        <v>81</v>
      </c>
      <c r="B47" s="20">
        <f>ROUNDUP(B46,0)</f>
        <v>49</v>
      </c>
      <c r="C47" s="18" t="s">
        <v>39</v>
      </c>
    </row>
    <row r="48" spans="1:3" ht="15.75" customHeight="1">
      <c r="A48" s="6" t="s">
        <v>82</v>
      </c>
      <c r="B48" s="33">
        <v>2</v>
      </c>
      <c r="C48" s="18" t="s">
        <v>83</v>
      </c>
    </row>
    <row r="49" spans="1:5" ht="16.5" customHeight="1">
      <c r="A49" s="6" t="s">
        <v>10</v>
      </c>
      <c r="B49" s="21">
        <f>B35*B48</f>
        <v>4565.217391304348</v>
      </c>
      <c r="C49" s="18" t="s">
        <v>55</v>
      </c>
    </row>
    <row r="50" spans="1:5" ht="21" hidden="1" customHeight="1">
      <c r="A50" s="6" t="s">
        <v>10</v>
      </c>
      <c r="B50" s="6" t="s">
        <v>11</v>
      </c>
      <c r="C50" s="18"/>
    </row>
    <row r="51" spans="1:5" ht="14.25" customHeight="1">
      <c r="A51" s="6" t="s">
        <v>85</v>
      </c>
      <c r="B51" s="31">
        <v>3</v>
      </c>
      <c r="C51" s="18" t="s">
        <v>39</v>
      </c>
    </row>
    <row r="52" spans="1:5" ht="16.5" customHeight="1">
      <c r="A52" s="6" t="s">
        <v>84</v>
      </c>
      <c r="B52" s="20">
        <f>B43*B51</f>
        <v>4695.652173913044</v>
      </c>
      <c r="C52" s="18" t="s">
        <v>55</v>
      </c>
    </row>
    <row r="53" spans="1:5" ht="16.5" customHeight="1">
      <c r="A53" s="6" t="s">
        <v>86</v>
      </c>
      <c r="B53" s="25">
        <v>0.8</v>
      </c>
      <c r="C53" s="18" t="s">
        <v>39</v>
      </c>
    </row>
    <row r="54" spans="1:5" ht="16.5" customHeight="1">
      <c r="A54" s="6" t="s">
        <v>87</v>
      </c>
      <c r="B54" s="25">
        <v>0.8</v>
      </c>
      <c r="C54" s="18" t="s">
        <v>39</v>
      </c>
    </row>
    <row r="55" spans="1:5" ht="13.5" customHeight="1">
      <c r="A55" s="2" t="s">
        <v>89</v>
      </c>
      <c r="B55" s="17">
        <f>B35/2</f>
        <v>1141.304347826087</v>
      </c>
      <c r="C55" s="18" t="s">
        <v>88</v>
      </c>
    </row>
    <row r="56" spans="1:5" ht="15.75" customHeight="1">
      <c r="A56" s="6" t="s">
        <v>90</v>
      </c>
      <c r="B56" s="17">
        <f>B55/(3600*B53*B54)</f>
        <v>0.49535778985507251</v>
      </c>
      <c r="C56" s="18" t="s">
        <v>37</v>
      </c>
    </row>
    <row r="57" spans="1:5" ht="15.75" customHeight="1">
      <c r="A57" s="6" t="s">
        <v>91</v>
      </c>
      <c r="B57" s="34">
        <v>300</v>
      </c>
      <c r="C57" s="18" t="s">
        <v>92</v>
      </c>
    </row>
    <row r="58" spans="1:5" ht="15" customHeight="1">
      <c r="A58" s="6" t="s">
        <v>93</v>
      </c>
      <c r="B58" s="14">
        <f>B35*24/B57</f>
        <v>182.60869565217391</v>
      </c>
      <c r="C58" s="18" t="s">
        <v>39</v>
      </c>
    </row>
    <row r="59" spans="1:5" ht="28.5" customHeight="1">
      <c r="A59" s="2" t="s">
        <v>94</v>
      </c>
      <c r="B59" s="19">
        <f>B58/2</f>
        <v>91.304347826086953</v>
      </c>
      <c r="C59" s="26" t="s">
        <v>39</v>
      </c>
    </row>
    <row r="60" spans="1:5" ht="15.75" customHeight="1">
      <c r="A60" s="2" t="s">
        <v>95</v>
      </c>
      <c r="B60" s="26">
        <f>3.14*(B47+(B53/2))</f>
        <v>155.11600000000001</v>
      </c>
      <c r="C60" s="26" t="s">
        <v>39</v>
      </c>
    </row>
    <row r="61" spans="1:5">
      <c r="A61" s="23" t="s">
        <v>12</v>
      </c>
      <c r="B61" s="6"/>
      <c r="C61" s="18"/>
    </row>
    <row r="62" spans="1:5">
      <c r="A62" s="2" t="s">
        <v>13</v>
      </c>
      <c r="B62" s="31">
        <v>10</v>
      </c>
      <c r="C62" s="18" t="s">
        <v>96</v>
      </c>
    </row>
    <row r="63" spans="1:5" ht="15" customHeight="1">
      <c r="A63" s="2" t="s">
        <v>14</v>
      </c>
      <c r="B63" s="19">
        <f>B8</f>
        <v>4565.217391304348</v>
      </c>
      <c r="C63" s="18" t="s">
        <v>67</v>
      </c>
      <c r="E63" s="7"/>
    </row>
    <row r="64" spans="1:5" ht="15" customHeight="1">
      <c r="A64" s="2" t="s">
        <v>97</v>
      </c>
      <c r="B64" s="36">
        <v>6</v>
      </c>
      <c r="C64" s="18" t="s">
        <v>73</v>
      </c>
      <c r="E64" s="7"/>
    </row>
    <row r="65" spans="1:3" ht="17.25" customHeight="1">
      <c r="A65" s="2" t="s">
        <v>15</v>
      </c>
      <c r="B65" s="20">
        <f>B63/B62</f>
        <v>456.52173913043481</v>
      </c>
      <c r="C65" s="18" t="s">
        <v>67</v>
      </c>
    </row>
    <row r="66" spans="1:3" ht="14.25" customHeight="1">
      <c r="A66" s="2" t="s">
        <v>16</v>
      </c>
      <c r="B66" s="20">
        <f>B65/B64</f>
        <v>76.08695652173914</v>
      </c>
      <c r="C66" s="18" t="s">
        <v>77</v>
      </c>
    </row>
    <row r="67" spans="1:3" ht="28.5" customHeight="1">
      <c r="A67" s="2" t="s">
        <v>101</v>
      </c>
      <c r="B67" s="35" t="s">
        <v>100</v>
      </c>
      <c r="C67" s="18"/>
    </row>
    <row r="68" spans="1:3" ht="15.75" customHeight="1">
      <c r="A68" s="27" t="s">
        <v>98</v>
      </c>
      <c r="B68" s="12">
        <f>2*3.6*10.7</f>
        <v>77.039999999999992</v>
      </c>
      <c r="C68" s="18" t="s">
        <v>99</v>
      </c>
    </row>
    <row r="69" spans="1:3" ht="15.75" customHeight="1">
      <c r="A69" s="2" t="s">
        <v>103</v>
      </c>
      <c r="B69" s="10">
        <v>350</v>
      </c>
      <c r="C69" s="18" t="s">
        <v>43</v>
      </c>
    </row>
    <row r="70" spans="1:3" ht="15.75" customHeight="1">
      <c r="A70" s="2" t="s">
        <v>104</v>
      </c>
      <c r="B70" s="10">
        <v>350</v>
      </c>
      <c r="C70" s="18" t="s">
        <v>43</v>
      </c>
    </row>
    <row r="71" spans="1:3" ht="15.75" customHeight="1">
      <c r="A71" s="27" t="s">
        <v>102</v>
      </c>
      <c r="B71" s="20">
        <f>(B65/((B69/1000)*(B70/1000)))/3600</f>
        <v>1.0351966873706007</v>
      </c>
      <c r="C71" s="18" t="s">
        <v>37</v>
      </c>
    </row>
    <row r="72" spans="1:3" ht="13.5" customHeight="1">
      <c r="A72" s="2" t="s">
        <v>105</v>
      </c>
      <c r="B72" s="10">
        <v>350</v>
      </c>
      <c r="C72" s="18" t="s">
        <v>43</v>
      </c>
    </row>
    <row r="73" spans="1:3" ht="15" customHeight="1">
      <c r="A73" s="2" t="s">
        <v>106</v>
      </c>
      <c r="B73" s="20">
        <f>(B65/3600)/(0.785*(B72/1000)^2)</f>
        <v>1.3187218947396184</v>
      </c>
      <c r="C73" s="18" t="s">
        <v>37</v>
      </c>
    </row>
    <row r="74" spans="1:3" ht="16.5" customHeight="1">
      <c r="A74" s="2" t="s">
        <v>107</v>
      </c>
      <c r="B74" s="31">
        <v>500</v>
      </c>
      <c r="C74" s="18" t="s">
        <v>108</v>
      </c>
    </row>
    <row r="75" spans="1:3" ht="13.5" customHeight="1">
      <c r="A75" s="2" t="s">
        <v>17</v>
      </c>
      <c r="B75" s="12">
        <f>B68*(B74/1000)</f>
        <v>38.519999999999996</v>
      </c>
      <c r="C75" s="18" t="s">
        <v>109</v>
      </c>
    </row>
    <row r="76" spans="1:3" ht="14.25" customHeight="1">
      <c r="A76" s="2" t="s">
        <v>17</v>
      </c>
      <c r="B76" s="12">
        <f>B75/60</f>
        <v>0.6419999999999999</v>
      </c>
      <c r="C76" s="18" t="s">
        <v>111</v>
      </c>
    </row>
    <row r="77" spans="1:3" ht="15.75" customHeight="1">
      <c r="A77" s="2" t="s">
        <v>113</v>
      </c>
      <c r="B77" s="10">
        <v>800</v>
      </c>
      <c r="C77" s="18" t="s">
        <v>112</v>
      </c>
    </row>
    <row r="78" spans="1:3" ht="15.75" customHeight="1">
      <c r="A78" s="2" t="s">
        <v>102</v>
      </c>
      <c r="B78" s="17">
        <f>B76/(0.785*(B77/1000)^2)</f>
        <v>1.2778662420382163</v>
      </c>
      <c r="C78" s="18" t="s">
        <v>37</v>
      </c>
    </row>
    <row r="79" spans="1:3" ht="18" customHeight="1">
      <c r="A79" s="2" t="s">
        <v>114</v>
      </c>
      <c r="B79" s="10">
        <v>0.75</v>
      </c>
      <c r="C79" s="18" t="s">
        <v>39</v>
      </c>
    </row>
    <row r="80" spans="1:3" ht="18" customHeight="1">
      <c r="A80" s="2" t="s">
        <v>115</v>
      </c>
      <c r="B80" s="10">
        <v>0.75</v>
      </c>
      <c r="C80" s="18" t="s">
        <v>39</v>
      </c>
    </row>
    <row r="81" spans="1:3" ht="15.75" customHeight="1">
      <c r="A81" s="2" t="s">
        <v>102</v>
      </c>
      <c r="B81" s="28">
        <f>B76/(B79*B80)</f>
        <v>1.1413333333333331</v>
      </c>
      <c r="C81" s="18" t="s">
        <v>37</v>
      </c>
    </row>
    <row r="82" spans="1:3">
      <c r="A82" s="2" t="s">
        <v>116</v>
      </c>
      <c r="B82" s="31">
        <v>750</v>
      </c>
      <c r="C82" s="18" t="s">
        <v>117</v>
      </c>
    </row>
    <row r="83" spans="1:3" ht="17.25" customHeight="1">
      <c r="A83" s="2" t="s">
        <v>18</v>
      </c>
      <c r="B83" s="12">
        <f>B68*(B82/1000)</f>
        <v>57.779999999999994</v>
      </c>
      <c r="C83" s="18" t="s">
        <v>109</v>
      </c>
    </row>
    <row r="84" spans="1:3" ht="17.25" customHeight="1">
      <c r="A84" s="2" t="s">
        <v>18</v>
      </c>
      <c r="B84" s="12">
        <f>B83/60</f>
        <v>0.96299999999999986</v>
      </c>
      <c r="C84" s="18" t="s">
        <v>111</v>
      </c>
    </row>
    <row r="85" spans="1:3" ht="17.25" customHeight="1">
      <c r="A85" s="2" t="s">
        <v>118</v>
      </c>
      <c r="B85" s="10">
        <v>250</v>
      </c>
      <c r="C85" s="18" t="s">
        <v>43</v>
      </c>
    </row>
    <row r="86" spans="1:3" ht="15.75" customHeight="1">
      <c r="A86" s="2" t="s">
        <v>102</v>
      </c>
      <c r="B86" s="20">
        <f>B84/(0.785*((B85/1000)^2))</f>
        <v>19.628025477707002</v>
      </c>
      <c r="C86" s="18" t="s">
        <v>37</v>
      </c>
    </row>
    <row r="87" spans="1:3" ht="16.5" customHeight="1">
      <c r="A87" s="2" t="s">
        <v>19</v>
      </c>
      <c r="B87" s="12">
        <f>B75*60</f>
        <v>2311.1999999999998</v>
      </c>
      <c r="C87" s="18" t="s">
        <v>119</v>
      </c>
    </row>
    <row r="88" spans="1:3" ht="14.25" customHeight="1">
      <c r="A88" s="2" t="s">
        <v>20</v>
      </c>
      <c r="B88" s="6"/>
      <c r="C88" s="18"/>
    </row>
    <row r="89" spans="1:3" ht="15" customHeight="1">
      <c r="A89" s="2" t="s">
        <v>120</v>
      </c>
      <c r="B89" s="10">
        <v>2</v>
      </c>
      <c r="C89" s="18" t="s">
        <v>121</v>
      </c>
    </row>
    <row r="90" spans="1:3" ht="15" customHeight="1">
      <c r="A90" s="2" t="s">
        <v>122</v>
      </c>
      <c r="B90" s="12">
        <f>B87/B89</f>
        <v>1155.5999999999999</v>
      </c>
      <c r="C90" s="18" t="s">
        <v>31</v>
      </c>
    </row>
    <row r="91" spans="1:3" ht="15" customHeight="1">
      <c r="A91" s="2" t="s">
        <v>122</v>
      </c>
      <c r="B91" s="12">
        <f>B90*1000/60</f>
        <v>19260</v>
      </c>
      <c r="C91" s="18" t="s">
        <v>110</v>
      </c>
    </row>
    <row r="92" spans="1:3" ht="18" customHeight="1">
      <c r="A92" s="23" t="s">
        <v>21</v>
      </c>
      <c r="B92" s="6"/>
      <c r="C92" s="18"/>
    </row>
    <row r="93" spans="1:3" ht="15.75" customHeight="1">
      <c r="A93" s="2" t="s">
        <v>22</v>
      </c>
      <c r="B93" s="12">
        <f>B83*60</f>
        <v>3466.7999999999997</v>
      </c>
      <c r="C93" s="18" t="s">
        <v>67</v>
      </c>
    </row>
    <row r="94" spans="1:3" ht="21" customHeight="1">
      <c r="A94" s="2" t="s">
        <v>123</v>
      </c>
      <c r="B94" s="26">
        <f>ROUNDUP(B93,-2)</f>
        <v>3500</v>
      </c>
      <c r="C94" s="18" t="s">
        <v>67</v>
      </c>
    </row>
    <row r="95" spans="1:3" ht="18" customHeight="1">
      <c r="A95" s="23" t="s">
        <v>23</v>
      </c>
      <c r="B95" s="6"/>
      <c r="C95" s="18"/>
    </row>
    <row r="96" spans="1:3" ht="14.25" customHeight="1">
      <c r="A96" s="2" t="s">
        <v>125</v>
      </c>
      <c r="B96" s="31">
        <v>50</v>
      </c>
      <c r="C96" s="18" t="s">
        <v>124</v>
      </c>
    </row>
    <row r="97" spans="1:3" ht="17.25" customHeight="1">
      <c r="A97" s="2" t="s">
        <v>126</v>
      </c>
      <c r="B97" s="36">
        <v>10</v>
      </c>
      <c r="C97" s="18" t="s">
        <v>127</v>
      </c>
    </row>
    <row r="98" spans="1:3" ht="15.75" customHeight="1">
      <c r="A98" s="2" t="s">
        <v>24</v>
      </c>
      <c r="B98" s="17">
        <f>((B63*B96*1000*8)/(1000*1000))*B97</f>
        <v>18260.869565217392</v>
      </c>
      <c r="C98" s="18" t="s">
        <v>128</v>
      </c>
    </row>
    <row r="99" spans="1:3" ht="15.75" customHeight="1">
      <c r="A99" s="2" t="s">
        <v>24</v>
      </c>
      <c r="B99" s="17">
        <f>B98/1000</f>
        <v>18.260869565217391</v>
      </c>
      <c r="C99" s="18" t="s">
        <v>55</v>
      </c>
    </row>
    <row r="100" spans="1:3" ht="16.5" customHeight="1">
      <c r="A100" s="2" t="s">
        <v>130</v>
      </c>
      <c r="B100" s="10" t="s">
        <v>129</v>
      </c>
      <c r="C100" s="18" t="s">
        <v>52</v>
      </c>
    </row>
    <row r="101" spans="1:3" ht="14.25" customHeight="1">
      <c r="A101" s="2" t="s">
        <v>25</v>
      </c>
      <c r="B101" s="19">
        <f>B63*B96*24*90/1000</f>
        <v>493043.47826086963</v>
      </c>
      <c r="C101" s="18" t="s">
        <v>133</v>
      </c>
    </row>
    <row r="102" spans="1:3" ht="15" customHeight="1">
      <c r="A102" s="2" t="s">
        <v>131</v>
      </c>
      <c r="B102" s="31">
        <v>1300</v>
      </c>
      <c r="C102" s="18" t="s">
        <v>132</v>
      </c>
    </row>
    <row r="103" spans="1:3" ht="15" customHeight="1">
      <c r="A103" s="2" t="s">
        <v>26</v>
      </c>
      <c r="B103" s="20">
        <f>B101/B102</f>
        <v>379.26421404682281</v>
      </c>
      <c r="C103" s="18" t="s">
        <v>55</v>
      </c>
    </row>
    <row r="104" spans="1:3" ht="13.5" customHeight="1">
      <c r="A104" s="2" t="s">
        <v>134</v>
      </c>
      <c r="B104" s="30">
        <v>2</v>
      </c>
      <c r="C104" s="18" t="s">
        <v>135</v>
      </c>
    </row>
    <row r="105" spans="1:3" ht="15.75" customHeight="1">
      <c r="A105" s="2" t="s">
        <v>27</v>
      </c>
      <c r="B105" s="20">
        <f>B103/B104</f>
        <v>189.63210702341141</v>
      </c>
      <c r="C105" s="18" t="s">
        <v>77</v>
      </c>
    </row>
    <row r="106" spans="1:3" ht="28.5" customHeight="1">
      <c r="A106" s="2" t="s">
        <v>137</v>
      </c>
      <c r="B106" s="39">
        <v>0.2</v>
      </c>
      <c r="C106" s="26" t="s">
        <v>127</v>
      </c>
    </row>
    <row r="107" spans="1:3">
      <c r="A107" s="27" t="s">
        <v>138</v>
      </c>
      <c r="B107" s="37">
        <f>B105*B106</f>
        <v>37.92642140468228</v>
      </c>
      <c r="C107" s="38" t="s">
        <v>77</v>
      </c>
    </row>
    <row r="108" spans="1:3">
      <c r="A108" s="27" t="s">
        <v>139</v>
      </c>
      <c r="B108" s="37">
        <f>B105+B107</f>
        <v>227.55852842809369</v>
      </c>
      <c r="C108" s="38" t="s">
        <v>77</v>
      </c>
    </row>
    <row r="109" spans="1:3">
      <c r="A109" s="27" t="s">
        <v>139</v>
      </c>
      <c r="B109" s="37">
        <f>ROUNDUP(B108,-1)</f>
        <v>230</v>
      </c>
      <c r="C109" s="38" t="s">
        <v>77</v>
      </c>
    </row>
  </sheetData>
  <mergeCells count="3">
    <mergeCell ref="A1:B1"/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IBM</cp:lastModifiedBy>
  <dcterms:created xsi:type="dcterms:W3CDTF">2010-08-22T11:04:06Z</dcterms:created>
  <dcterms:modified xsi:type="dcterms:W3CDTF">2010-08-26T10:01:01Z</dcterms:modified>
</cp:coreProperties>
</file>